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доходите'!$A$1:$H$56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<sst xmlns="http://schemas.openxmlformats.org/spreadsheetml/2006/main" count="1980" uniqueCount="692">
  <si>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</si>
  <si>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</si>
  <si>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</si>
  <si>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</si>
  <si>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</si>
  <si>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</si>
  <si>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</si>
  <si>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</si>
  <si>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</si>
  <si>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</si>
  <si>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</si>
  <si>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</si>
  <si>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</si>
  <si>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</si>
  <si>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</si>
  <si>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</si>
  <si>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</si>
  <si>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</si>
  <si>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</si>
  <si>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</si>
  <si>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</si>
  <si>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</si>
  <si>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</si>
  <si>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</si>
  <si>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</si>
  <si>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</si>
  <si>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</si>
  <si>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</si>
  <si>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</si>
  <si>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</si>
  <si>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</si>
  <si>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</si>
  <si>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</si>
  <si>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</si>
  <si>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</si>
  <si>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</si>
  <si>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</si>
  <si>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</si>
  <si>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</si>
  <si>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</si>
  <si>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</si>
  <si>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</si>
  <si>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</si>
  <si>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</si>
  <si>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</si>
  <si>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</si>
  <si>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</si>
  <si>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</si>
  <si>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</si>
  <si>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</si>
  <si>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</si>
  <si>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</si>
  <si>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</si>
  <si>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</si>
  <si>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</si>
  <si>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</si>
  <si>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</si>
  <si>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</si>
  <si>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</si>
  <si>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</si>
  <si>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</si>
  <si>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</si>
  <si>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</si>
  <si>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</si>
  <si>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</si>
  <si>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</si>
  <si>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</si>
  <si>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</si>
  <si>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</si>
  <si>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</si>
  <si>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</si>
  <si>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</si>
  <si>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</si>
  <si>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</si>
  <si>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</si>
  <si>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</si>
  <si>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</si>
  <si>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</si>
  <si>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</si>
  <si>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</si>
  <si>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</si>
  <si>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</si>
  <si>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</si>
  <si>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</si>
  <si>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</si>
  <si>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</si>
  <si>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</si>
  <si>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</si>
  <si>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</si>
  <si>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</si>
  <si>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</si>
  <si>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</si>
  <si>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</si>
  <si>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</si>
  <si>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</si>
  <si>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</si>
  <si>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</si>
  <si>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</si>
  <si>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</si>
  <si>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</si>
  <si>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</si>
  <si>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</si>
  <si>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</si>
  <si>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</si>
  <si>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</si>
  <si>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</si>
  <si>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</si>
  <si>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</si>
  <si>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</si>
  <si>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</si>
  <si>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</si>
  <si>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</si>
  <si>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</si>
  <si>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</si>
  <si>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</si>
  <si>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</si>
  <si>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</si>
  <si>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</si>
  <si>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</si>
  <si>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</si>
  <si>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</si>
  <si>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</si>
  <si>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</si>
  <si>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</si>
  <si>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</si>
  <si>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</si>
  <si>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</si>
  <si>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</si>
  <si>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</si>
  <si>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</si>
  <si>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</si>
  <si>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</si>
  <si>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</si>
  <si>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</si>
  <si>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</si>
  <si>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</si>
  <si>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</si>
  <si>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</si>
  <si>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</si>
  <si>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</si>
  <si>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</si>
  <si>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</si>
  <si>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</si>
  <si>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</si>
  <si>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</si>
  <si>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</si>
  <si>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</si>
  <si>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</si>
  <si>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</si>
  <si>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</si>
  <si>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</si>
  <si>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</si>
  <si>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</si>
  <si>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</si>
  <si>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</si>
  <si>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</si>
  <si>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</si>
  <si>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</si>
  <si>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</si>
  <si>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</si>
  <si>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</si>
  <si>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</si>
  <si>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</si>
  <si>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</si>
  <si>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</si>
  <si>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</si>
  <si>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</si>
  <si>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</si>
  <si>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</si>
  <si>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</si>
  <si>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</si>
  <si>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</si>
  <si>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</si>
  <si>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</si>
  <si>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</si>
  <si>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</si>
  <si>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</si>
  <si>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</si>
  <si>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</si>
  <si>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</si>
  <si>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</si>
  <si>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</si>
  <si>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</si>
  <si>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</si>
  <si>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</si>
  <si>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</si>
  <si>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</si>
  <si>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</si>
  <si>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</si>
  <si>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</si>
  <si>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</si>
  <si>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</si>
  <si>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</si>
  <si>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</si>
  <si>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</si>
  <si>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</si>
  <si>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</si>
  <si>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</si>
  <si>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</si>
  <si>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</si>
  <si>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</si>
  <si>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</si>
  <si>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</si>
  <si>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</si>
  <si>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</si>
  <si>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</si>
  <si>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</si>
  <si>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</si>
  <si>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</si>
  <si>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</si>
  <si>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</si>
  <si>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</si>
  <si>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</si>
  <si>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</si>
  <si>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</si>
  <si>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</si>
  <si>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</si>
  <si>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</si>
  <si>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</si>
  <si>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</si>
  <si>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</si>
  <si>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</si>
  <si>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</si>
  <si>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</si>
  <si>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</si>
  <si>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</si>
  <si>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</si>
  <si>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</si>
  <si>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</si>
  <si>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</si>
  <si>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</si>
  <si>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</si>
  <si>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</si>
  <si>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</si>
  <si>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</si>
  <si>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</si>
  <si>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</si>
  <si>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</si>
  <si>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</si>
  <si>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</si>
  <si>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</si>
  <si>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</si>
  <si>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</si>
  <si>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</si>
  <si>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</si>
  <si>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</si>
  <si>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</si>
  <si>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</si>
  <si>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</si>
  <si>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</si>
  <si>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</si>
  <si>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</si>
  <si>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</si>
  <si>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</si>
  <si>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</si>
  <si>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</si>
  <si>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</si>
  <si>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</si>
  <si>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</si>
  <si>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</si>
  <si>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</si>
  <si>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</si>
  <si>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</si>
  <si>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</si>
  <si>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</si>
  <si>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</si>
  <si>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</si>
  <si>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</si>
  <si>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</si>
  <si>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</si>
  <si>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</si>
  <si>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</si>
  <si>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</si>
  <si>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</si>
  <si>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</si>
  <si>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</si>
  <si>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</si>
  <si>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</si>
  <si>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</si>
  <si>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</si>
  <si>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</si>
  <si>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</si>
  <si>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</si>
  <si>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</si>
  <si>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</si>
  <si>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</si>
  <si>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</si>
  <si>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</si>
  <si>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</si>
  <si>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</si>
  <si>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</si>
  <si>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</si>
  <si>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</si>
  <si>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</si>
  <si>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</si>
  <si>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</si>
  <si>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</si>
  <si>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</si>
  <si>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</si>
  <si>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</si>
  <si>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</si>
  <si>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</si>
  <si>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</si>
  <si>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</si>
  <si>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</si>
  <si>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</si>
  <si>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</si>
  <si>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</si>
  <si>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</si>
  <si>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</si>
  <si>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</si>
  <si>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</si>
  <si>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</si>
  <si>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</si>
  <si>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</si>
  <si>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</si>
  <si>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</si>
  <si>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</si>
  <si>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</si>
  <si>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</si>
  <si>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</si>
  <si>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</si>
  <si>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</si>
  <si>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</si>
  <si>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</si>
  <si>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</si>
  <si>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</si>
  <si>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</si>
  <si>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</si>
  <si>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</si>
  <si>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</si>
  <si>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</si>
  <si>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</si>
  <si>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</si>
  <si>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</si>
  <si>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</si>
  <si>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</si>
  <si>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</si>
  <si>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</si>
  <si>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</si>
  <si>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</si>
  <si>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</si>
  <si>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</si>
  <si>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</si>
  <si>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</si>
  <si>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</si>
  <si>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</si>
  <si>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</si>
  <si>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</si>
  <si>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</si>
  <si>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</si>
  <si>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</si>
  <si>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</si>
  <si>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</si>
  <si>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</si>
  <si>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</si>
  <si>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</si>
  <si>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</si>
  <si>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</si>
  <si>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</si>
  <si>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</si>
  <si>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</si>
  <si>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</si>
  <si>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</si>
  <si>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</si>
  <si>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</si>
  <si>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</si>
  <si>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</si>
  <si>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</si>
  <si>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</si>
  <si>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</si>
  <si>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</si>
  <si>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</si>
  <si>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</si>
  <si>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</si>
  <si>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</si>
  <si>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</si>
  <si>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</si>
  <si>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</si>
  <si>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</si>
  <si>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</si>
  <si>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</si>
  <si>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</si>
  <si>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</si>
  <si>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</si>
  <si>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</si>
  <si>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</si>
  <si>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</si>
  <si>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</si>
  <si>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</si>
  <si>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</si>
  <si>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</si>
  <si>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</si>
  <si>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</si>
  <si>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</si>
  <si>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</si>
  <si>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</si>
  <si>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</si>
  <si>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</si>
  <si>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</si>
  <si>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</si>
  <si>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</si>
  <si>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</si>
  <si>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</si>
  <si>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</si>
  <si>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</si>
  <si>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</si>
  <si>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</si>
  <si>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</si>
  <si>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</si>
  <si>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</si>
  <si>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</si>
  <si>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</si>
  <si>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</si>
  <si>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</si>
  <si>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</si>
  <si>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</si>
  <si>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</si>
  <si>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</si>
  <si>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</si>
  <si>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</si>
  <si>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</si>
  <si>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</si>
  <si>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</si>
  <si>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</si>
  <si>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</si>
  <si>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</si>
  <si>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</si>
  <si>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</si>
  <si>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</si>
  <si>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</si>
  <si>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</si>
  <si>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</si>
  <si>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</si>
  <si>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</si>
  <si>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</si>
  <si>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</si>
  <si>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</si>
  <si>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</si>
  <si>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</si>
  <si>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</si>
  <si>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</si>
  <si>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</si>
  <si>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</si>
  <si>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</si>
  <si>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</si>
  <si>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</si>
  <si>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</si>
  <si>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</si>
  <si>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</si>
  <si>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</si>
  <si>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</si>
  <si>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</si>
  <si>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</si>
  <si>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</si>
  <si>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</si>
  <si>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</si>
  <si>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</si>
  <si>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</si>
  <si>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</si>
  <si>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</si>
  <si>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</si>
  <si>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</si>
  <si>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</si>
  <si>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</si>
  <si>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</si>
  <si>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</si>
  <si>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</si>
  <si>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</si>
  <si>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</si>
  <si>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</si>
  <si>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</si>
  <si>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</si>
  <si>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</si>
  <si>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</si>
  <si>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</si>
  <si>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</si>
  <si>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</si>
  <si>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</si>
  <si>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</si>
  <si>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</si>
  <si>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</si>
  <si>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</si>
  <si>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</si>
  <si>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</si>
  <si>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</si>
  <si>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</si>
  <si>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</si>
  <si>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</si>
  <si>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</si>
  <si>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</si>
  <si>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</si>
  <si>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</si>
  <si>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</si>
  <si>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</si>
  <si>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</si>
  <si>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</si>
  <si>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</si>
  <si>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</si>
  <si>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</si>
  <si>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</si>
  <si>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</si>
  <si>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</si>
  <si>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</si>
  <si>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</si>
  <si>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</si>
  <si>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</si>
  <si>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</si>
  <si>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</si>
  <si>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</si>
  <si>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</si>
  <si>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</si>
  <si>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</si>
  <si>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</si>
  <si>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</si>
  <si>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</si>
  <si>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</si>
  <si>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</si>
  <si>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</si>
  <si>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</si>
  <si>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</si>
  <si>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</si>
  <si>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</si>
  <si>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</si>
  <si>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</si>
  <si>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</si>
  <si>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</si>
  <si>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</si>
  <si>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</si>
  <si>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</si>
  <si>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</si>
  <si>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</si>
  <si>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</si>
  <si>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</si>
  <si>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</si>
  <si>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</si>
  <si>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</si>
  <si>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</si>
  <si>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</si>
  <si>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</si>
  <si>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</si>
  <si>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</si>
  <si>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</si>
  <si>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</si>
  <si>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</si>
  <si>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</si>
  <si>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</si>
  <si>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</si>
  <si>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</si>
  <si>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</si>
  <si>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</si>
  <si>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</si>
  <si>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</si>
  <si>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</si>
  <si>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</si>
  <si>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</si>
  <si>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</si>
  <si>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</si>
  <si>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</si>
  <si>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</si>
  <si>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</si>
  <si>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</si>
  <si>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</si>
  <si>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</si>
  <si>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</si>
  <si>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</si>
  <si>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</si>
  <si>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</si>
  <si>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</si>
  <si>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</si>
  <si>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</si>
  <si>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</si>
  <si>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</si>
  <si>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</si>
  <si>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</si>
  <si>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</si>
  <si>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</si>
  <si>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</si>
  <si>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</si>
  <si>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</si>
  <si>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</si>
  <si>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</si>
  <si>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</si>
  <si>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</si>
  <si>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</si>
  <si>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</si>
  <si>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</si>
  <si>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</si>
  <si>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</si>
  <si>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</si>
  <si>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</si>
  <si>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</si>
  <si>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</si>
  <si>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</si>
  <si>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</si>
  <si>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</si>
  <si>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</si>
  <si>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</si>
  <si>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</si>
  <si>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</si>
  <si>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</si>
  <si>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</si>
  <si>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</si>
  <si>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</si>
  <si>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</si>
  <si>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</si>
  <si>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</si>
  <si>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</si>
  <si>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</si>
  <si>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</si>
  <si>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</si>
  <si>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</si>
  <si>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</si>
  <si>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</si>
  <si>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</si>
  <si>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</si>
  <si>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</si>
  <si>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</si>
  <si>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</si>
  <si>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</si>
  <si>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</si>
  <si>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</si>
  <si>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</si>
  <si>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</si>
  <si>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</si>
  <si>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</si>
  <si>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</si>
  <si>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</si>
  <si>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</si>
  <si>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</si>
  <si>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</si>
  <si>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</si>
  <si>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</si>
  <si>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</si>
  <si>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</si>
  <si>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</si>
  <si>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</si>
  <si>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</si>
  <si>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</si>
  <si>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</si>
  <si>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</si>
  <si>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</si>
  <si>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</si>
  <si>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</si>
  <si>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</si>
  <si>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</si>
  <si>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</si>
  <si>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</si>
  <si>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</si>
  <si>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</si>
  <si>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</si>
  <si>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</si>
  <si>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</si>
  <si>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</si>
  <si>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</si>
  <si>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</si>
  <si>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</si>
  <si>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</si>
  <si>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</si>
  <si>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</si>
  <si>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</si>
  <si>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</si>
  <si>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</si>
  <si>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</si>
  <si>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</si>
  <si>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</si>
  <si>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</si>
  <si>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</si>
  <si>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</si>
  <si>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</si>
  <si>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</si>
  <si>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</si>
  <si>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</si>
  <si>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</si>
  <si>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</si>
  <si>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</si>
  <si>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</si>
  <si>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</si>
  <si>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</si>
  <si>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</si>
  <si>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</si>
  <si>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</si>
  <si>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</si>
  <si>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</si>
  <si>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</si>
  <si>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№ 126</t>
  </si>
  <si>
    <t>028952421</t>
  </si>
  <si>
    <t>office@fisconsulting.bg</t>
  </si>
  <si>
    <t xml:space="preserve">счетоводно предприятие </t>
  </si>
  <si>
    <t>ФИСКОНСУЛТИНГ ООД</t>
  </si>
  <si>
    <t>1.ИНФРА БИЛДИНГ ЕООД</t>
  </si>
  <si>
    <t>2.ВИТЕХ СТРОЙ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</si>
</sst>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45211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45211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682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61">
      <selection activeCell="B102" sqref="B102:H10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-58584</v>
      </c>
      <c r="H28" s="375">
        <f>SUM(H29:H31)</f>
        <v>-58546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-58584</v>
      </c>
      <c r="H30" s="137">
        <v>-58546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136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-58448</v>
      </c>
      <c r="H34" s="377">
        <f>H28+H32+H33</f>
        <v>-58584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9987</v>
      </c>
      <c r="H37" s="379">
        <f>H26+H18+H34</f>
        <v>9851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</v>
      </c>
      <c r="D56" s="381">
        <f>D20+D21+D22+D28+D33+D46+D52+D54+D55</f>
        <v>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</v>
      </c>
      <c r="H61" s="375">
        <f>SUM(H62:H68)</f>
        <v>16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16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198</v>
      </c>
      <c r="H69" s="137">
        <v>207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201</v>
      </c>
      <c r="H71" s="377">
        <f>H59+H60+H61+H69+H70</f>
        <v>223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10185</v>
      </c>
      <c r="D79" s="375">
        <f>SUM(D80:D82)</f>
        <v>10070</v>
      </c>
      <c r="E79" s="146" t="s">
        <v>556</v>
      </c>
      <c r="F79" s="86" t="s">
        <v>241</v>
      </c>
      <c r="G79" s="378">
        <f>G71+G73+G75+G77</f>
        <v>201</v>
      </c>
      <c r="H79" s="379">
        <f>H71+H73+H75+H77</f>
        <v>223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10185</v>
      </c>
      <c r="D82" s="137">
        <v>10070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10185</v>
      </c>
      <c r="D85" s="377">
        <f>D84+D83+D79</f>
        <v>10070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10185</v>
      </c>
      <c r="D94" s="381">
        <f>D65+D76+D85+D92+D93</f>
        <v>10071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10188</v>
      </c>
      <c r="D95" s="383">
        <f>D94+D56</f>
        <v>10074</v>
      </c>
      <c r="E95" s="169" t="s">
        <v>633</v>
      </c>
      <c r="F95" s="280" t="s">
        <v>268</v>
      </c>
      <c r="G95" s="382">
        <f>G37+G40+G56+G79</f>
        <v>10188</v>
      </c>
      <c r="H95" s="383">
        <f>H37+H40+H56+H79</f>
        <v>10074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45211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3"/>
  <sheetViews>
    <sheetView view="pageBreakPreview" zoomScale="80" zoomScaleNormal="70" zoomScaleSheetLayoutView="80" zoomScalePageLayoutView="0" workbookViewId="0" topLeftCell="A28">
      <selection activeCell="G49" sqref="G4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</v>
      </c>
      <c r="D13" s="257">
        <v>12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</v>
      </c>
      <c r="D15" s="257">
        <v>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</v>
      </c>
      <c r="D22" s="408">
        <f>SUM(D12:D18)+D19</f>
        <v>15</v>
      </c>
      <c r="E22" s="135" t="s">
        <v>309</v>
      </c>
      <c r="F22" s="177" t="s">
        <v>310</v>
      </c>
      <c r="G22" s="256">
        <v>118</v>
      </c>
      <c r="H22" s="257">
        <v>118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</v>
      </c>
      <c r="D25" s="257">
        <v>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31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149</v>
      </c>
      <c r="H27" s="408">
        <f>SUM(H22:H26)</f>
        <v>118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</v>
      </c>
      <c r="D29" s="408">
        <f>SUM(D25:D28)</f>
        <v>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</v>
      </c>
      <c r="D31" s="414">
        <f>D29+D22</f>
        <v>19</v>
      </c>
      <c r="E31" s="191" t="s">
        <v>548</v>
      </c>
      <c r="F31" s="206" t="s">
        <v>331</v>
      </c>
      <c r="G31" s="193">
        <f>G16+G18+G27</f>
        <v>149</v>
      </c>
      <c r="H31" s="194">
        <f>H16+H18+H27</f>
        <v>118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136</v>
      </c>
      <c r="D33" s="184">
        <f>IF((H31-D31)&gt;0,H31-D31,0)</f>
        <v>99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13</v>
      </c>
      <c r="D36" s="416">
        <f>D31-D34+D35</f>
        <v>19</v>
      </c>
      <c r="E36" s="202" t="s">
        <v>346</v>
      </c>
      <c r="F36" s="196" t="s">
        <v>347</v>
      </c>
      <c r="G36" s="207">
        <f>G35-G34+G31</f>
        <v>149</v>
      </c>
      <c r="H36" s="208">
        <f>H35-H34+H31</f>
        <v>118</v>
      </c>
    </row>
    <row r="37" spans="1:8" ht="15.75">
      <c r="A37" s="201" t="s">
        <v>348</v>
      </c>
      <c r="B37" s="171" t="s">
        <v>349</v>
      </c>
      <c r="C37" s="413">
        <f>IF((G36-C36)&gt;0,G36-C36,0)</f>
        <v>136</v>
      </c>
      <c r="D37" s="414">
        <f>IF((H36-D36)&gt;0,H36-D36,0)</f>
        <v>99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136</v>
      </c>
      <c r="D42" s="184">
        <f>+IF((H36-D36-D38)&gt;0,H36-D36-D38,0)</f>
        <v>99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136</v>
      </c>
      <c r="D44" s="208">
        <f>IF(H42=0,IF(D42-D43&gt;0,D42-D43+H43,0),IF(H42-H43&lt;0,H43-H42+D42,0))</f>
        <v>99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149</v>
      </c>
      <c r="D45" s="410">
        <f>D36+D38+D42</f>
        <v>118</v>
      </c>
      <c r="E45" s="210" t="s">
        <v>373</v>
      </c>
      <c r="F45" s="212" t="s">
        <v>374</v>
      </c>
      <c r="G45" s="409">
        <f>G42+G36</f>
        <v>149</v>
      </c>
      <c r="H45" s="410">
        <f>H42+H36</f>
        <v>118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45211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view="pageBreakPreview" zoomScale="80" zoomScaleSheetLayoutView="80" zoomScalePageLayoutView="0" workbookViewId="0" topLeftCell="A19">
      <selection activeCell="D53" sqref="D5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-23</v>
      </c>
      <c r="D12" s="137">
        <v>-2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</v>
      </c>
      <c r="D14" s="137">
        <v>-3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-33</v>
      </c>
      <c r="D21" s="438">
        <f>SUM(D11:D20)</f>
        <v>-5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8</v>
      </c>
      <c r="D37" s="137">
        <v>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-10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35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32</v>
      </c>
      <c r="D43" s="440">
        <f>SUM(D35:D42)</f>
        <v>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45211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7">
      <selection activeCell="I42" sqref="I4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-58584</v>
      </c>
      <c r="K13" s="364"/>
      <c r="L13" s="363">
        <f>SUM(C13:K13)</f>
        <v>9851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-58584</v>
      </c>
      <c r="K17" s="432">
        <f t="shared" si="2"/>
        <v>0</v>
      </c>
      <c r="L17" s="363">
        <f t="shared" si="1"/>
        <v>9851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136</v>
      </c>
      <c r="J18" s="363">
        <f>+'1-Баланс'!G33</f>
        <v>0</v>
      </c>
      <c r="K18" s="364"/>
      <c r="L18" s="363">
        <f t="shared" si="1"/>
        <v>136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136</v>
      </c>
      <c r="J31" s="432">
        <f t="shared" si="6"/>
        <v>-58584</v>
      </c>
      <c r="K31" s="432">
        <f t="shared" si="6"/>
        <v>0</v>
      </c>
      <c r="L31" s="363">
        <f t="shared" si="1"/>
        <v>9987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136</v>
      </c>
      <c r="J34" s="366">
        <f t="shared" si="7"/>
        <v>-58584</v>
      </c>
      <c r="K34" s="366">
        <f t="shared" si="7"/>
        <v>0</v>
      </c>
      <c r="L34" s="430">
        <f t="shared" si="1"/>
        <v>9987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45211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2"/>
  <sheetViews>
    <sheetView tabSelected="1" view="pageBreakPreview" zoomScale="70" zoomScaleNormal="70" zoomScaleSheetLayoutView="70" workbookViewId="0" topLeftCell="A127">
      <selection activeCell="D21" sqref="D2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691</v>
      </c>
      <c r="B13" s="459"/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45211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10188</v>
      </c>
      <c r="D6" s="454">
        <f aca="true" t="shared" si="0" ref="D6:D15">C6-E6</f>
        <v>0</v>
      </c>
      <c r="E6" s="453">
        <f>'1-Баланс'!G95</f>
        <v>10188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9987</v>
      </c>
      <c r="D7" s="454">
        <f t="shared" si="0"/>
        <v>-48376</v>
      </c>
      <c r="E7" s="453">
        <f>'1-Баланс'!G18</f>
        <v>58363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136</v>
      </c>
      <c r="D8" s="454">
        <f t="shared" si="0"/>
        <v>0</v>
      </c>
      <c r="E8" s="453">
        <f>ABS('2-Отчет за доходите'!C44)-ABS('2-Отчет за доходите'!G44)</f>
        <v>136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9987</v>
      </c>
      <c r="D11" s="454">
        <f t="shared" si="0"/>
        <v>0</v>
      </c>
      <c r="E11" s="453">
        <f>'4-Отчет за собствения капитал'!L34</f>
        <v>9987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0.013617703013918094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0.6766169154228856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0.013349038084020416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11.461538461538462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50.67164179104478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50.67164179104478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50.67164179104478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0.020126164013217183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0.01972909305064782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140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0.014018223690798037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0.9395973154362416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1.4357142857142857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10185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10185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10185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10185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10188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-58584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-58584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136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-58448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9987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198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201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201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10188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136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136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136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136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149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118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31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149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149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149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-33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8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35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32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136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136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136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-58584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-58584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-58584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-58584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9851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9851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136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9987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9987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2023-10-13T08:15:23Z</cp:lastPrinted>
  <dcterms:created xsi:type="dcterms:W3CDTF">2006-09-16T00:00:00Z</dcterms:created>
  <dcterms:modified xsi:type="dcterms:W3CDTF">2023-10-13T08:15:27Z</dcterms:modified>
  <cp:category/>
  <cp:version/>
  <cp:contentType/>
  <cp:contentStatus/>
</cp:coreProperties>
</file>